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<sst xmlns="http://schemas.openxmlformats.org/spreadsheetml/2006/main" count="172" uniqueCount="123">
  <si>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</si>
  <si>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</si>
  <si>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</si>
  <si>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</si>
  <si>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</si>
  <si>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</si>
  <si>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</si>
  <si>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</si>
  <si>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</si>
  <si>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</si>
  <si>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</si>
  <si>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</si>
  <si>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</si>
  <si>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</si>
  <si>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</si>
  <si>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</si>
  <si>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</si>
  <si>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</si>
  <si>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</si>
  <si>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</si>
  <si>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</si>
  <si>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</si>
  <si>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</si>
  <si>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</si>
  <si>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</si>
  <si>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</si>
  <si>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</si>
  <si>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</si>
  <si>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</si>
  <si>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</si>
  <si>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</si>
  <si>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</si>
  <si>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</si>
  <si>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</si>
  <si>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</si>
  <si>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</si>
  <si>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</si>
  <si>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</si>
  <si>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</si>
  <si>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</si>
  <si>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</si>
  <si>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</si>
  <si>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</si>
  <si>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</si>
  <si>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</si>
  <si>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</si>
  <si>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</si>
  <si>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</si>
  <si>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</si>
  <si>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</si>
  <si>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</si>
  <si>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</si>
  <si>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</si>
  <si>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</si>
  <si>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</si>
  <si>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</si>
  <si>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</si>
  <si>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</si>
  <si>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</si>
  <si>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</si>
  <si>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</si>
  <si>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</si>
  <si>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</si>
  <si>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</si>
  <si>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</si>
  <si>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</si>
  <si>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</si>
  <si>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</si>
  <si>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</si>
  <si>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</si>
  <si>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</si>
  <si>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</si>
  <si>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</si>
  <si>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</si>
  <si>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</si>
  <si>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</si>
  <si>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</si>
  <si>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</si>
  <si>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</si>
  <si>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</si>
  <si>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</si>
  <si>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</si>
  <si>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</si>
  <si>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</si>
  <si>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</si>
  <si>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</si>
  <si>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</si>
  <si>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</si>
  <si>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</si>
  <si>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</si>
  <si>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</si>
  <si>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</si>
  <si>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</si>
  <si>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</si>
  <si>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</si>
  <si>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</si>
  <si>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</si>
  <si>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</si>
  <si>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</si>
  <si>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</si>
  <si>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</si>
  <si>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</si>
  <si>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</si>
  <si>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</si>
  <si>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</si>
  <si>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</si>
  <si>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</si>
  <si>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</si>
  <si>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</si>
  <si>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</si>
  <si>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</si>
  <si>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</si>
  <si>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</si>
  <si>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</si>
  <si>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</si>
  <si>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</si>
  <si>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</si>
  <si>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</si>
  <si>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</si>
  <si>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</si>
  <si>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</si>
  <si>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Програма впорядкуванні тимчасових споруд і зовнішньої реклами</t>
  </si>
  <si>
    <t>Аналіз використання коштів міського бюджету за 2016 рік станом на 10.08.2016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</si>
</sst>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6" xfId="0" applyNumberFormat="1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89" fontId="4" fillId="24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6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675"/>
          <c:w val="0.858"/>
          <c:h val="0.62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58928.00000000001</c:v>
                </c:pt>
                <c:pt idx="1">
                  <c:v>49463.1</c:v>
                </c:pt>
                <c:pt idx="2">
                  <c:v>2121.4</c:v>
                </c:pt>
                <c:pt idx="3">
                  <c:v>7343.500000000009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33160.7</c:v>
                </c:pt>
                <c:pt idx="1">
                  <c:v>28414.000000000004</c:v>
                </c:pt>
                <c:pt idx="2">
                  <c:v>1024.3999999999999</c:v>
                </c:pt>
                <c:pt idx="3">
                  <c:v>3722.299999999994</c:v>
                </c:pt>
              </c:numCache>
            </c:numRef>
          </c:val>
          <c:shape val="box"/>
        </c:ser>
        <c:shape val="box"/>
        <c:axId val="66960807"/>
        <c:axId val="65776352"/>
      </c:bar3DChart>
      <c:catAx>
        <c:axId val="6696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76352"/>
        <c:crosses val="autoZero"/>
        <c:auto val="1"/>
        <c:lblOffset val="100"/>
        <c:tickLblSkip val="1"/>
        <c:noMultiLvlLbl val="0"/>
      </c:catAx>
      <c:valAx>
        <c:axId val="65776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60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35"/>
          <c:w val="0.843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428283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27114.4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247436.80000000005</c:v>
                </c:pt>
                <c:pt idx="1">
                  <c:v>108947.09999999999</c:v>
                </c:pt>
                <c:pt idx="2">
                  <c:v>186663.69999999995</c:v>
                </c:pt>
                <c:pt idx="3">
                  <c:v>35.99999999999999</c:v>
                </c:pt>
                <c:pt idx="4">
                  <c:v>14413.900000000007</c:v>
                </c:pt>
                <c:pt idx="5">
                  <c:v>31383.899999999998</c:v>
                </c:pt>
                <c:pt idx="6">
                  <c:v>7464.300000000002</c:v>
                </c:pt>
                <c:pt idx="7">
                  <c:v>7475.000000000085</c:v>
                </c:pt>
              </c:numCache>
            </c:numRef>
          </c:val>
          <c:shape val="box"/>
        </c:ser>
        <c:shape val="box"/>
        <c:axId val="55116257"/>
        <c:axId val="26284266"/>
      </c:bar3DChart>
      <c:catAx>
        <c:axId val="5511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84266"/>
        <c:crosses val="autoZero"/>
        <c:auto val="1"/>
        <c:lblOffset val="100"/>
        <c:tickLblSkip val="1"/>
        <c:noMultiLvlLbl val="0"/>
      </c:catAx>
      <c:valAx>
        <c:axId val="26284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162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225"/>
          <c:w val="0.9295"/>
          <c:h val="0.66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254178</c:v>
                </c:pt>
                <c:pt idx="1">
                  <c:v>190940</c:v>
                </c:pt>
                <c:pt idx="2">
                  <c:v>186641.3</c:v>
                </c:pt>
                <c:pt idx="3">
                  <c:v>21064.1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143537.90000000002</c:v>
                </c:pt>
                <c:pt idx="1">
                  <c:v>104919.2</c:v>
                </c:pt>
                <c:pt idx="2">
                  <c:v>110730</c:v>
                </c:pt>
                <c:pt idx="3">
                  <c:v>12750.700000000003</c:v>
                </c:pt>
                <c:pt idx="4">
                  <c:v>2275.4</c:v>
                </c:pt>
                <c:pt idx="5">
                  <c:v>13532.1</c:v>
                </c:pt>
                <c:pt idx="6">
                  <c:v>895.6999999999999</c:v>
                </c:pt>
                <c:pt idx="7">
                  <c:v>3354.0000000000173</c:v>
                </c:pt>
              </c:numCache>
            </c:numRef>
          </c:val>
          <c:shape val="box"/>
        </c:ser>
        <c:shape val="box"/>
        <c:axId val="35231803"/>
        <c:axId val="48650772"/>
      </c:bar3DChart>
      <c:catAx>
        <c:axId val="352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650772"/>
        <c:crosses val="autoZero"/>
        <c:auto val="1"/>
        <c:lblOffset val="100"/>
        <c:tickLblSkip val="1"/>
        <c:noMultiLvlLbl val="0"/>
      </c:catAx>
      <c:valAx>
        <c:axId val="48650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31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28736.3</c:v>
                </c:pt>
                <c:pt idx="1">
                  <c:v>21436.899999999994</c:v>
                </c:pt>
                <c:pt idx="2">
                  <c:v>1253.5999999999997</c:v>
                </c:pt>
                <c:pt idx="3">
                  <c:v>331.90000000000015</c:v>
                </c:pt>
                <c:pt idx="4">
                  <c:v>25.5</c:v>
                </c:pt>
                <c:pt idx="5">
                  <c:v>5688.400000000005</c:v>
                </c:pt>
              </c:numCache>
            </c:numRef>
          </c:val>
          <c:shape val="box"/>
        </c:ser>
        <c:shape val="box"/>
        <c:axId val="35203765"/>
        <c:axId val="48398430"/>
      </c:bar3DChart>
      <c:catAx>
        <c:axId val="352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98430"/>
        <c:crosses val="autoZero"/>
        <c:auto val="1"/>
        <c:lblOffset val="100"/>
        <c:tickLblSkip val="1"/>
        <c:noMultiLvlLbl val="0"/>
      </c:catAx>
      <c:valAx>
        <c:axId val="48398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3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15"/>
          <c:w val="0.86375"/>
          <c:h val="0.63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8783.699999999995</c:v>
                </c:pt>
                <c:pt idx="1">
                  <c:v>5920.899999999999</c:v>
                </c:pt>
                <c:pt idx="3">
                  <c:v>141.50000000000003</c:v>
                </c:pt>
                <c:pt idx="4">
                  <c:v>371.3</c:v>
                </c:pt>
                <c:pt idx="5">
                  <c:v>80</c:v>
                </c:pt>
                <c:pt idx="6">
                  <c:v>2269.9999999999964</c:v>
                </c:pt>
              </c:numCache>
            </c:numRef>
          </c:val>
          <c:shape val="box"/>
        </c:ser>
        <c:shape val="box"/>
        <c:axId val="32932687"/>
        <c:axId val="27958728"/>
      </c:bar3DChart>
      <c:catAx>
        <c:axId val="3293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58728"/>
        <c:crosses val="autoZero"/>
        <c:auto val="1"/>
        <c:lblOffset val="100"/>
        <c:tickLblSkip val="2"/>
        <c:noMultiLvlLbl val="0"/>
      </c:catAx>
      <c:valAx>
        <c:axId val="27958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326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"/>
          <c:w val="0.8775"/>
          <c:h val="0.65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1478.8999999999999</c:v>
                </c:pt>
                <c:pt idx="1">
                  <c:v>939.9</c:v>
                </c:pt>
                <c:pt idx="2">
                  <c:v>265.1</c:v>
                </c:pt>
                <c:pt idx="3">
                  <c:v>197.4</c:v>
                </c:pt>
                <c:pt idx="5">
                  <c:v>76.49999999999989</c:v>
                </c:pt>
              </c:numCache>
            </c:numRef>
          </c:val>
          <c:shape val="box"/>
        </c:ser>
        <c:shape val="box"/>
        <c:axId val="50301961"/>
        <c:axId val="50064466"/>
      </c:bar3DChart>
      <c:catAx>
        <c:axId val="50301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64466"/>
        <c:crosses val="autoZero"/>
        <c:auto val="1"/>
        <c:lblOffset val="100"/>
        <c:tickLblSkip val="1"/>
        <c:noMultiLvlLbl val="0"/>
      </c:catAx>
      <c:valAx>
        <c:axId val="50064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019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625"/>
          <c:w val="0.85725"/>
          <c:h val="0.67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51128.1</c:v>
                </c:pt>
              </c:numCache>
            </c:numRef>
          </c:val>
          <c:shape val="box"/>
        </c:ser>
        <c:shape val="box"/>
        <c:axId val="47927011"/>
        <c:axId val="28689916"/>
      </c:bar3DChart>
      <c:catAx>
        <c:axId val="47927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689916"/>
        <c:crosses val="autoZero"/>
        <c:auto val="1"/>
        <c:lblOffset val="100"/>
        <c:tickLblSkip val="1"/>
        <c:noMultiLvlLbl val="0"/>
      </c:catAx>
      <c:valAx>
        <c:axId val="28689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7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55"/>
          <c:w val="0.851"/>
          <c:h val="0.59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428283</c:v>
                </c:pt>
                <c:pt idx="1">
                  <c:v>254178</c:v>
                </c:pt>
                <c:pt idx="2">
                  <c:v>50285.299999999996</c:v>
                </c:pt>
                <c:pt idx="3">
                  <c:v>17141.1</c:v>
                </c:pt>
                <c:pt idx="4">
                  <c:v>6131.4</c:v>
                </c:pt>
                <c:pt idx="5">
                  <c:v>58928.00000000001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247436.80000000005</c:v>
                </c:pt>
                <c:pt idx="1">
                  <c:v>143537.90000000002</c:v>
                </c:pt>
                <c:pt idx="2">
                  <c:v>28736.3</c:v>
                </c:pt>
                <c:pt idx="3">
                  <c:v>8783.699999999995</c:v>
                </c:pt>
                <c:pt idx="4">
                  <c:v>1478.8999999999999</c:v>
                </c:pt>
                <c:pt idx="5">
                  <c:v>33160.7</c:v>
                </c:pt>
                <c:pt idx="6">
                  <c:v>51128.1</c:v>
                </c:pt>
              </c:numCache>
            </c:numRef>
          </c:val>
          <c:shape val="box"/>
        </c:ser>
        <c:shape val="box"/>
        <c:axId val="56882653"/>
        <c:axId val="42181830"/>
      </c:bar3DChart>
      <c:catAx>
        <c:axId val="5688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81830"/>
        <c:crosses val="autoZero"/>
        <c:auto val="1"/>
        <c:lblOffset val="100"/>
        <c:tickLblSkip val="1"/>
        <c:noMultiLvlLbl val="0"/>
      </c:catAx>
      <c:valAx>
        <c:axId val="42181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82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65"/>
          <c:w val="0.8412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31721.800000000003</c:v>
                </c:pt>
                <c:pt idx="3">
                  <c:v>29347.1</c:v>
                </c:pt>
                <c:pt idx="4">
                  <c:v>21243.1</c:v>
                </c:pt>
                <c:pt idx="5">
                  <c:v>610031.0000000003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358649.5</c:v>
                </c:pt>
                <c:pt idx="1">
                  <c:v>52013.299999999996</c:v>
                </c:pt>
                <c:pt idx="2">
                  <c:v>17131.200000000004</c:v>
                </c:pt>
                <c:pt idx="3">
                  <c:v>12905.000000000002</c:v>
                </c:pt>
                <c:pt idx="4">
                  <c:v>12844.900000000001</c:v>
                </c:pt>
                <c:pt idx="5">
                  <c:v>375580.70000000007</c:v>
                </c:pt>
              </c:numCache>
            </c:numRef>
          </c:val>
          <c:shape val="box"/>
        </c:ser>
        <c:shape val="box"/>
        <c:axId val="44092151"/>
        <c:axId val="61285040"/>
      </c:bar3DChart>
      <c:catAx>
        <c:axId val="4409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85040"/>
        <c:crosses val="autoZero"/>
        <c:auto val="1"/>
        <c:lblOffset val="100"/>
        <c:tickLblSkip val="1"/>
        <c:noMultiLvlLbl val="0"/>
      </c:catAx>
      <c:valAx>
        <c:axId val="61285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92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118</v>
      </c>
      <c r="C3" s="135" t="s">
        <v>111</v>
      </c>
      <c r="D3" s="135" t="s">
        <v>28</v>
      </c>
      <c r="E3" s="135" t="s">
        <v>27</v>
      </c>
      <c r="F3" s="135" t="s">
        <v>119</v>
      </c>
      <c r="G3" s="135" t="s">
        <v>113</v>
      </c>
      <c r="H3" s="135" t="s">
        <v>120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288859.3+1079.4</f>
        <v>289938.7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</f>
        <v>248113.00000000006</v>
      </c>
      <c r="E6" s="3">
        <f>D6/D150*100</f>
        <v>28.98249553662584</v>
      </c>
      <c r="F6" s="3">
        <f>D6/B6*100</f>
        <v>85.57429553212457</v>
      </c>
      <c r="G6" s="3">
        <f aca="true" t="shared" si="0" ref="G6:G43">D6/C6*100</f>
        <v>55.700080324242364</v>
      </c>
      <c r="H6" s="51">
        <f>B6-D6</f>
        <v>41825.69999999995</v>
      </c>
      <c r="I6" s="51">
        <f aca="true" t="shared" si="1" ref="I6:I43">C6-D6</f>
        <v>197331.59999999992</v>
      </c>
    </row>
    <row r="7" spans="1:9" s="41" customFormat="1" ht="18.75">
      <c r="A7" s="112" t="s">
        <v>97</v>
      </c>
      <c r="B7" s="105">
        <f>128736.2-613.8</f>
        <v>128122.4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</f>
        <v>109053.2</v>
      </c>
      <c r="E7" s="103">
        <f>D7/D6*100</f>
        <v>43.95303752725572</v>
      </c>
      <c r="F7" s="103">
        <f>D7/B7*100</f>
        <v>85.1164199234482</v>
      </c>
      <c r="G7" s="103">
        <f>D7/C7*100</f>
        <v>58.038633809053444</v>
      </c>
      <c r="H7" s="113">
        <f>B7-D7</f>
        <v>19069.199999999997</v>
      </c>
      <c r="I7" s="113">
        <f t="shared" si="1"/>
        <v>78844.40000000001</v>
      </c>
    </row>
    <row r="8" spans="1:9" ht="18">
      <c r="A8" s="26" t="s">
        <v>3</v>
      </c>
      <c r="B8" s="46">
        <f>202340.8+1523</f>
        <v>203863.8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</f>
        <v>186764.09999999995</v>
      </c>
      <c r="E8" s="1">
        <f>D8/D6*100</f>
        <v>75.27380669291811</v>
      </c>
      <c r="F8" s="1">
        <f>D8/B8*100</f>
        <v>91.61219402365694</v>
      </c>
      <c r="G8" s="1">
        <f t="shared" si="0"/>
        <v>59.770862056384864</v>
      </c>
      <c r="H8" s="48">
        <f>B8-D8</f>
        <v>17099.70000000004</v>
      </c>
      <c r="I8" s="48">
        <f t="shared" si="1"/>
        <v>125702.69999999998</v>
      </c>
    </row>
    <row r="9" spans="1:9" ht="18">
      <c r="A9" s="26" t="s">
        <v>2</v>
      </c>
      <c r="B9" s="46">
        <v>53.4</v>
      </c>
      <c r="C9" s="47">
        <v>85.7</v>
      </c>
      <c r="D9" s="48">
        <f>4+2.9+1.6+0.5+0.5+1.9+1.2+1.8+1.6+0.7+2+3.7+0.1+1.9+2.9+1.2+0.4+1.1+0.2+0.6+1.5+1.7+0.3+0.5+1.3-0.1</f>
        <v>35.99999999999999</v>
      </c>
      <c r="E9" s="12">
        <f>D9/D6*100</f>
        <v>0.014509517840661306</v>
      </c>
      <c r="F9" s="128">
        <f>D9/B9*100</f>
        <v>67.41573033707864</v>
      </c>
      <c r="G9" s="1">
        <f t="shared" si="0"/>
        <v>42.00700116686114</v>
      </c>
      <c r="H9" s="48">
        <f aca="true" t="shared" si="2" ref="H9:H43">B9-D9</f>
        <v>17.400000000000006</v>
      </c>
      <c r="I9" s="48">
        <f t="shared" si="1"/>
        <v>49.70000000000001</v>
      </c>
    </row>
    <row r="10" spans="1:9" ht="18">
      <c r="A10" s="26" t="s">
        <v>1</v>
      </c>
      <c r="B10" s="46">
        <v>19096.6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</f>
        <v>14629.000000000007</v>
      </c>
      <c r="E10" s="1">
        <f>D10/D6*100</f>
        <v>5.896103791417621</v>
      </c>
      <c r="F10" s="1">
        <f aca="true" t="shared" si="3" ref="F10:F41">D10/B10*100</f>
        <v>76.60525957500293</v>
      </c>
      <c r="G10" s="1">
        <f t="shared" si="0"/>
        <v>53.952881125896226</v>
      </c>
      <c r="H10" s="48">
        <f t="shared" si="2"/>
        <v>4467.599999999991</v>
      </c>
      <c r="I10" s="48">
        <f t="shared" si="1"/>
        <v>12485.399999999994</v>
      </c>
    </row>
    <row r="11" spans="1:9" ht="18">
      <c r="A11" s="26" t="s">
        <v>0</v>
      </c>
      <c r="B11" s="46">
        <f>46075.8+106</f>
        <v>46181.8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</f>
        <v>31406.899999999998</v>
      </c>
      <c r="E11" s="1">
        <f>D11/D6*100</f>
        <v>12.658304885274044</v>
      </c>
      <c r="F11" s="1">
        <f t="shared" si="3"/>
        <v>68.0070937035802</v>
      </c>
      <c r="G11" s="1">
        <f t="shared" si="0"/>
        <v>41.88658963361287</v>
      </c>
      <c r="H11" s="48">
        <f t="shared" si="2"/>
        <v>14774.900000000005</v>
      </c>
      <c r="I11" s="48">
        <f t="shared" si="1"/>
        <v>43573.90000000001</v>
      </c>
    </row>
    <row r="12" spans="1:9" ht="18">
      <c r="A12" s="26" t="s">
        <v>15</v>
      </c>
      <c r="B12" s="46">
        <v>9017.2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</f>
        <v>7525.200000000002</v>
      </c>
      <c r="E12" s="1">
        <f>D12/D6*100</f>
        <v>3.032972879292903</v>
      </c>
      <c r="F12" s="1">
        <f t="shared" si="3"/>
        <v>83.45384376524865</v>
      </c>
      <c r="G12" s="1">
        <f t="shared" si="0"/>
        <v>51.05291723202172</v>
      </c>
      <c r="H12" s="48">
        <f t="shared" si="2"/>
        <v>1491.999999999999</v>
      </c>
      <c r="I12" s="48">
        <f t="shared" si="1"/>
        <v>7214.799999999998</v>
      </c>
    </row>
    <row r="13" spans="1:9" ht="18.75" thickBot="1">
      <c r="A13" s="26" t="s">
        <v>34</v>
      </c>
      <c r="B13" s="47">
        <f>B6-B8-B9-B10-B11-B12</f>
        <v>11725.90000000002</v>
      </c>
      <c r="C13" s="47">
        <f>C6-C8-C9-C10-C11-C12</f>
        <v>16056.900000000038</v>
      </c>
      <c r="D13" s="47">
        <f>D6-D8-D9-D10-D11-D12</f>
        <v>7751.800000000104</v>
      </c>
      <c r="E13" s="1">
        <f>D13/D6*100</f>
        <v>3.124302233256662</v>
      </c>
      <c r="F13" s="1">
        <f t="shared" si="3"/>
        <v>66.10835842024997</v>
      </c>
      <c r="G13" s="1">
        <f t="shared" si="0"/>
        <v>48.277064688701344</v>
      </c>
      <c r="H13" s="48">
        <f t="shared" si="2"/>
        <v>3974.099999999916</v>
      </c>
      <c r="I13" s="48">
        <f t="shared" si="1"/>
        <v>8305.099999999933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172773+1206.6</f>
        <v>173979.6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</f>
        <v>144357.40000000002</v>
      </c>
      <c r="E18" s="3">
        <f>D18/D150*100</f>
        <v>16.862629935468558</v>
      </c>
      <c r="F18" s="3">
        <f>D18/B18*100</f>
        <v>82.97375094551316</v>
      </c>
      <c r="G18" s="3">
        <f t="shared" si="0"/>
        <v>55.47684195963293</v>
      </c>
      <c r="H18" s="51">
        <f>B18-D18</f>
        <v>29622.199999999983</v>
      </c>
      <c r="I18" s="51">
        <f t="shared" si="1"/>
        <v>115854.59999999998</v>
      </c>
    </row>
    <row r="19" spans="1:9" s="41" customFormat="1" ht="18.75">
      <c r="A19" s="112" t="s">
        <v>98</v>
      </c>
      <c r="B19" s="105">
        <v>126166.1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</f>
        <v>105571.9</v>
      </c>
      <c r="E19" s="103">
        <f>D19/D18*100</f>
        <v>73.13230911612428</v>
      </c>
      <c r="F19" s="103">
        <f t="shared" si="3"/>
        <v>83.6769147972395</v>
      </c>
      <c r="G19" s="103">
        <f t="shared" si="0"/>
        <v>55.12328764262248</v>
      </c>
      <c r="H19" s="113">
        <f t="shared" si="2"/>
        <v>20594.20000000001</v>
      </c>
      <c r="I19" s="113">
        <f t="shared" si="1"/>
        <v>85947.70000000001</v>
      </c>
    </row>
    <row r="20" spans="1:9" ht="18">
      <c r="A20" s="26" t="s">
        <v>5</v>
      </c>
      <c r="B20" s="46">
        <f>127345.7+588.9</f>
        <v>127934.59999999999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</f>
        <v>110730</v>
      </c>
      <c r="E20" s="1">
        <f>D20/D18*100</f>
        <v>76.70545465629056</v>
      </c>
      <c r="F20" s="1">
        <f t="shared" si="3"/>
        <v>86.55203518047503</v>
      </c>
      <c r="G20" s="1">
        <f t="shared" si="0"/>
        <v>58.406273043656235</v>
      </c>
      <c r="H20" s="48">
        <f t="shared" si="2"/>
        <v>17204.59999999999</v>
      </c>
      <c r="I20" s="48">
        <f t="shared" si="1"/>
        <v>78855.79999999999</v>
      </c>
    </row>
    <row r="21" spans="1:9" ht="18">
      <c r="A21" s="26" t="s">
        <v>2</v>
      </c>
      <c r="B21" s="46">
        <f>16511.7+348</f>
        <v>16859.7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</f>
        <v>13031.000000000002</v>
      </c>
      <c r="E21" s="1">
        <f>D21/D18*100</f>
        <v>9.026901288053125</v>
      </c>
      <c r="F21" s="1">
        <f t="shared" si="3"/>
        <v>77.29081774883302</v>
      </c>
      <c r="G21" s="1">
        <f t="shared" si="0"/>
        <v>58.93793221979495</v>
      </c>
      <c r="H21" s="48">
        <f t="shared" si="2"/>
        <v>3828.699999999999</v>
      </c>
      <c r="I21" s="48">
        <f t="shared" si="1"/>
        <v>9078.699999999995</v>
      </c>
    </row>
    <row r="22" spans="1:9" ht="18">
      <c r="A22" s="26" t="s">
        <v>1</v>
      </c>
      <c r="B22" s="46">
        <v>2646.7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</f>
        <v>2275.4</v>
      </c>
      <c r="E22" s="1">
        <f>D22/D18*100</f>
        <v>1.576226781585149</v>
      </c>
      <c r="F22" s="1">
        <f t="shared" si="3"/>
        <v>85.97120943061172</v>
      </c>
      <c r="G22" s="1">
        <f t="shared" si="0"/>
        <v>58.07703106255902</v>
      </c>
      <c r="H22" s="48">
        <f t="shared" si="2"/>
        <v>371.2999999999997</v>
      </c>
      <c r="I22" s="48">
        <f t="shared" si="1"/>
        <v>1642.5</v>
      </c>
    </row>
    <row r="23" spans="1:9" ht="18">
      <c r="A23" s="26" t="s">
        <v>0</v>
      </c>
      <c r="B23" s="46">
        <f>16470.6+144.8</f>
        <v>16615.399999999998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</f>
        <v>13922.5</v>
      </c>
      <c r="E23" s="1">
        <f>D23/D18*100</f>
        <v>9.644465749590944</v>
      </c>
      <c r="F23" s="1">
        <f t="shared" si="3"/>
        <v>83.79274648819771</v>
      </c>
      <c r="G23" s="1">
        <f t="shared" si="0"/>
        <v>46.840199977122396</v>
      </c>
      <c r="H23" s="48">
        <f t="shared" si="2"/>
        <v>2692.899999999998</v>
      </c>
      <c r="I23" s="48">
        <f t="shared" si="1"/>
        <v>15800.900000000001</v>
      </c>
    </row>
    <row r="24" spans="1:9" ht="18">
      <c r="A24" s="26" t="s">
        <v>15</v>
      </c>
      <c r="B24" s="46">
        <v>1076.8</v>
      </c>
      <c r="C24" s="47">
        <v>1591.6</v>
      </c>
      <c r="D24" s="48">
        <f>73.6+22.6+5.3+2.4+2.5+128.1+0.1+11.5+121.2+11.2-0.1+27.3+71.1+31.4-0.1+0.8+24.6+83.5+19.6+26.5+24.2+67.9+2.3+4+48.1+8.9+75.1+2+0.1</f>
        <v>895.6999999999999</v>
      </c>
      <c r="E24" s="1">
        <f>D24/D18*100</f>
        <v>0.6204739071221841</v>
      </c>
      <c r="F24" s="1">
        <f t="shared" si="3"/>
        <v>83.18164933135215</v>
      </c>
      <c r="G24" s="1">
        <f t="shared" si="0"/>
        <v>56.27670268911786</v>
      </c>
      <c r="H24" s="48">
        <f t="shared" si="2"/>
        <v>181.10000000000002</v>
      </c>
      <c r="I24" s="48">
        <f t="shared" si="1"/>
        <v>695.9</v>
      </c>
    </row>
    <row r="25" spans="1:9" ht="18.75" thickBot="1">
      <c r="A25" s="26" t="s">
        <v>34</v>
      </c>
      <c r="B25" s="47">
        <f>B18-B20-B21-B22-B23-B24</f>
        <v>8846.400000000016</v>
      </c>
      <c r="C25" s="47">
        <f>C18-C20-C21-C22-C23-C24</f>
        <v>13283.600000000011</v>
      </c>
      <c r="D25" s="47">
        <f>D18-D20-D21-D22-D23-D24</f>
        <v>3502.800000000022</v>
      </c>
      <c r="E25" s="1">
        <f>D25/D18*100</f>
        <v>2.4264776173580445</v>
      </c>
      <c r="F25" s="1">
        <f t="shared" si="3"/>
        <v>39.595767769940494</v>
      </c>
      <c r="G25" s="1">
        <f t="shared" si="0"/>
        <v>26.369357704236947</v>
      </c>
      <c r="H25" s="48">
        <f t="shared" si="2"/>
        <v>5343.599999999994</v>
      </c>
      <c r="I25" s="48">
        <f t="shared" si="1"/>
        <v>9780.799999999988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33955.6-426+196.7</f>
        <v>33726.299999999996</v>
      </c>
      <c r="C33" s="50">
        <f>50266.1+19.2-3069.6+1137.5</f>
        <v>48353.2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</f>
        <v>29510.3</v>
      </c>
      <c r="E33" s="3">
        <f>D33/D150*100</f>
        <v>3.4471476223917703</v>
      </c>
      <c r="F33" s="3">
        <f>D33/B33*100</f>
        <v>87.49936992791977</v>
      </c>
      <c r="G33" s="3">
        <f t="shared" si="0"/>
        <v>61.03070737820868</v>
      </c>
      <c r="H33" s="51">
        <f t="shared" si="2"/>
        <v>4215.999999999996</v>
      </c>
      <c r="I33" s="51">
        <f t="shared" si="1"/>
        <v>18842.899999999998</v>
      </c>
    </row>
    <row r="34" spans="1:9" ht="18">
      <c r="A34" s="26" t="s">
        <v>3</v>
      </c>
      <c r="B34" s="46">
        <f>23623.2+172+196.7</f>
        <v>23991.9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</f>
        <v>21575.999999999993</v>
      </c>
      <c r="E34" s="1">
        <f>D34/D33*100</f>
        <v>73.11345530204706</v>
      </c>
      <c r="F34" s="1">
        <f t="shared" si="3"/>
        <v>89.93035149362908</v>
      </c>
      <c r="G34" s="1">
        <f t="shared" si="0"/>
        <v>59.3574016556027</v>
      </c>
      <c r="H34" s="48">
        <f t="shared" si="2"/>
        <v>2415.9000000000087</v>
      </c>
      <c r="I34" s="48">
        <f t="shared" si="1"/>
        <v>14773.300000000003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1887.1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</f>
        <v>1254.8999999999996</v>
      </c>
      <c r="E36" s="1">
        <f>D36/D33*100</f>
        <v>4.252413564077626</v>
      </c>
      <c r="F36" s="1">
        <f t="shared" si="3"/>
        <v>66.49886068570822</v>
      </c>
      <c r="G36" s="1">
        <f t="shared" si="0"/>
        <v>37.07895047866681</v>
      </c>
      <c r="H36" s="48">
        <f t="shared" si="2"/>
        <v>632.2000000000003</v>
      </c>
      <c r="I36" s="48">
        <f t="shared" si="1"/>
        <v>2129.5000000000005</v>
      </c>
    </row>
    <row r="37" spans="1:9" s="41" customFormat="1" ht="18.75">
      <c r="A37" s="20" t="s">
        <v>7</v>
      </c>
      <c r="B37" s="55">
        <v>804.9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1.1246920566717389</v>
      </c>
      <c r="F37" s="17">
        <f t="shared" si="3"/>
        <v>41.234936016896526</v>
      </c>
      <c r="G37" s="17">
        <f t="shared" si="0"/>
        <v>35.71505434197785</v>
      </c>
      <c r="H37" s="57">
        <f t="shared" si="2"/>
        <v>472.99999999999983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0.08641050751771415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7016.899999999994</v>
      </c>
      <c r="C39" s="46">
        <f>C33-C34-C36-C37-C35-C38</f>
        <v>7629.4000000000015</v>
      </c>
      <c r="D39" s="46">
        <f>D33-D34-D36-D37-D35-D38</f>
        <v>6322.000000000006</v>
      </c>
      <c r="E39" s="1">
        <f>D39/D33*100</f>
        <v>21.42302856968586</v>
      </c>
      <c r="F39" s="1">
        <f t="shared" si="3"/>
        <v>90.09676637831538</v>
      </c>
      <c r="G39" s="1">
        <f t="shared" si="0"/>
        <v>82.86365900332929</v>
      </c>
      <c r="H39" s="48">
        <f>B39-D39</f>
        <v>694.8999999999878</v>
      </c>
      <c r="I39" s="48">
        <f t="shared" si="1"/>
        <v>1307.399999999995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647.4+128</f>
        <v>775.4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</f>
        <v>556.0000000000001</v>
      </c>
      <c r="E43" s="3">
        <f>D43/D150*100</f>
        <v>0.0649472922352475</v>
      </c>
      <c r="F43" s="3">
        <f>D43/B43*100</f>
        <v>71.7049264895538</v>
      </c>
      <c r="G43" s="3">
        <f t="shared" si="0"/>
        <v>41.539036234590974</v>
      </c>
      <c r="H43" s="51">
        <f t="shared" si="2"/>
        <v>219.39999999999986</v>
      </c>
      <c r="I43" s="51">
        <f t="shared" si="1"/>
        <v>782.4999999999999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5068.6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</f>
        <v>4410.700000000001</v>
      </c>
      <c r="E45" s="3">
        <f>D45/D150*100</f>
        <v>0.5152212623417377</v>
      </c>
      <c r="F45" s="3">
        <f>D45/B45*100</f>
        <v>87.02008444146313</v>
      </c>
      <c r="G45" s="3">
        <f aca="true" t="shared" si="4" ref="G45:G76">D45/C45*100</f>
        <v>56.64256636145322</v>
      </c>
      <c r="H45" s="51">
        <f>B45-D45</f>
        <v>657.8999999999996</v>
      </c>
      <c r="I45" s="51">
        <f aca="true" t="shared" si="5" ref="I45:I77">C45-D45</f>
        <v>3376.2</v>
      </c>
    </row>
    <row r="46" spans="1:9" ht="18">
      <c r="A46" s="26" t="s">
        <v>3</v>
      </c>
      <c r="B46" s="46">
        <v>4467.5</v>
      </c>
      <c r="C46" s="47">
        <v>6753.6</v>
      </c>
      <c r="D46" s="48">
        <f>224.1+258.6+235.3+288.8+241.4+328.6+224.6+306.6+239.4+298.3+269.8+13.5+346.9+45.8+263.2+291.7-0.1+38.6</f>
        <v>3915.1000000000004</v>
      </c>
      <c r="E46" s="1">
        <f>D46/D45*100</f>
        <v>88.76368830344389</v>
      </c>
      <c r="F46" s="1">
        <f aca="true" t="shared" si="6" ref="F46:F74">D46/B46*100</f>
        <v>87.63514269725799</v>
      </c>
      <c r="G46" s="1">
        <f t="shared" si="4"/>
        <v>57.970563847429524</v>
      </c>
      <c r="H46" s="48">
        <f aca="true" t="shared" si="7" ref="H46:H74">B46-D46</f>
        <v>552.3999999999996</v>
      </c>
      <c r="I46" s="48">
        <f t="shared" si="5"/>
        <v>2838.5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0.018137710567483617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0.8003264787902148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v>332.8</v>
      </c>
      <c r="C49" s="47">
        <f>568.5+40.5</f>
        <v>609</v>
      </c>
      <c r="D49" s="48">
        <f>2.2+2.5+0.8+112.4+2.2+0.1+69.1+4.4-0.1+35.2+27.4+4.8+1+22.3+2.5+1.6+0.6+4.2-0.1+0.5+5.1+0.3+0.5</f>
        <v>299.50000000000006</v>
      </c>
      <c r="E49" s="1">
        <f>D49/D45*100</f>
        <v>6.79030539370168</v>
      </c>
      <c r="F49" s="1">
        <f t="shared" si="6"/>
        <v>89.9939903846154</v>
      </c>
      <c r="G49" s="1">
        <f t="shared" si="4"/>
        <v>49.17898193760264</v>
      </c>
      <c r="H49" s="48">
        <f t="shared" si="7"/>
        <v>33.299999999999955</v>
      </c>
      <c r="I49" s="48">
        <f t="shared" si="5"/>
        <v>309.49999999999994</v>
      </c>
    </row>
    <row r="50" spans="1:9" ht="18.75" thickBot="1">
      <c r="A50" s="26" t="s">
        <v>34</v>
      </c>
      <c r="B50" s="47">
        <f>B45-B46-B49-B48-B47</f>
        <v>230.50000000000034</v>
      </c>
      <c r="C50" s="47">
        <f>C45-C46-C49-C48-C47</f>
        <v>352.3000000000002</v>
      </c>
      <c r="D50" s="47">
        <f>D45-D46-D49-D48-D47</f>
        <v>160.00000000000028</v>
      </c>
      <c r="E50" s="1">
        <f>D50/D45*100</f>
        <v>3.62754211349673</v>
      </c>
      <c r="F50" s="1">
        <f t="shared" si="6"/>
        <v>69.41431670281997</v>
      </c>
      <c r="G50" s="1">
        <f t="shared" si="4"/>
        <v>45.41583877377241</v>
      </c>
      <c r="H50" s="48">
        <f t="shared" si="7"/>
        <v>70.50000000000006</v>
      </c>
      <c r="I50" s="48">
        <f t="shared" si="5"/>
        <v>192.2999999999999</v>
      </c>
    </row>
    <row r="51" spans="1:9" ht="18.75" thickBot="1">
      <c r="A51" s="25" t="s">
        <v>4</v>
      </c>
      <c r="B51" s="49">
        <f>11606.9-25</f>
        <v>11581.9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</f>
        <v>8790.699999999995</v>
      </c>
      <c r="E51" s="3">
        <f>D51/D150*100</f>
        <v>1.0268564062093344</v>
      </c>
      <c r="F51" s="3">
        <f>D51/B51*100</f>
        <v>75.90032723473692</v>
      </c>
      <c r="G51" s="3">
        <f t="shared" si="4"/>
        <v>51.28433997818107</v>
      </c>
      <c r="H51" s="51">
        <f>B51-D51</f>
        <v>2791.2000000000044</v>
      </c>
      <c r="I51" s="51">
        <f t="shared" si="5"/>
        <v>8350.400000000003</v>
      </c>
    </row>
    <row r="52" spans="1:9" ht="18">
      <c r="A52" s="26" t="s">
        <v>3</v>
      </c>
      <c r="B52" s="46">
        <v>6808.9</v>
      </c>
      <c r="C52" s="47">
        <v>10328.7</v>
      </c>
      <c r="D52" s="48">
        <f>8+294.9+437.7+298.5+423.7+297.9+451.2+294.5+446+301+554.2+412+820.4+487.4+393.4+0.1</f>
        <v>5920.899999999999</v>
      </c>
      <c r="E52" s="1">
        <f>D52/D51*100</f>
        <v>67.35413562059907</v>
      </c>
      <c r="F52" s="1">
        <f t="shared" si="6"/>
        <v>86.95824582531685</v>
      </c>
      <c r="G52" s="1">
        <f t="shared" si="4"/>
        <v>57.32473592998149</v>
      </c>
      <c r="H52" s="48">
        <f t="shared" si="7"/>
        <v>888.0000000000009</v>
      </c>
      <c r="I52" s="48">
        <f t="shared" si="5"/>
        <v>4407.800000000002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179.8</v>
      </c>
      <c r="C54" s="47">
        <v>287</v>
      </c>
      <c r="D54" s="48">
        <f>1.3+0.7+2.1+1+1.3+7.6+7.5+6.3+0.4+13+20.7+0.5+5.3+9.4+10+8.9+5.1+7.2+1-0.1+17.9+7.1+3.8+1.6+1.9</f>
        <v>141.50000000000003</v>
      </c>
      <c r="E54" s="1">
        <f>D54/D51*100</f>
        <v>1.6096556588212554</v>
      </c>
      <c r="F54" s="1">
        <f t="shared" si="6"/>
        <v>78.69855394883206</v>
      </c>
      <c r="G54" s="1">
        <f t="shared" si="4"/>
        <v>49.30313588850176</v>
      </c>
      <c r="H54" s="48">
        <f t="shared" si="7"/>
        <v>38.29999999999998</v>
      </c>
      <c r="I54" s="48">
        <f t="shared" si="5"/>
        <v>145.49999999999997</v>
      </c>
    </row>
    <row r="55" spans="1:9" ht="18">
      <c r="A55" s="26" t="s">
        <v>0</v>
      </c>
      <c r="B55" s="46">
        <v>593.6</v>
      </c>
      <c r="C55" s="47">
        <v>933.1</v>
      </c>
      <c r="D55" s="48">
        <f>10.7+0.6+7.6+85.1+28.4+14.4+0.1+8.5+0.1+7+0.1+7.7+62.8+6+1.3+0.9+0.9+1+0.7+0.1+4.7+15.2+34.9+9+4+15.8+5.5+7+1.9+1.5+0.1+2.4+1.8+3.7+1.3+4.5+2.3+0.7+0.1+1.8+6.8+1.6+0.7</f>
        <v>371.3</v>
      </c>
      <c r="E55" s="1">
        <f>D55/D51*100</f>
        <v>4.223781951380438</v>
      </c>
      <c r="F55" s="1">
        <f t="shared" si="6"/>
        <v>62.55053908355796</v>
      </c>
      <c r="G55" s="1">
        <f t="shared" si="4"/>
        <v>39.792090879862826</v>
      </c>
      <c r="H55" s="48">
        <f t="shared" si="7"/>
        <v>222.3</v>
      </c>
      <c r="I55" s="48">
        <f t="shared" si="5"/>
        <v>561.8</v>
      </c>
    </row>
    <row r="56" spans="1:9" ht="18">
      <c r="A56" s="26" t="s">
        <v>15</v>
      </c>
      <c r="B56" s="46">
        <v>200</v>
      </c>
      <c r="C56" s="47">
        <v>200</v>
      </c>
      <c r="D56" s="47">
        <f>40+40</f>
        <v>80</v>
      </c>
      <c r="E56" s="1">
        <f>D56/D51*100</f>
        <v>0.9100526692982361</v>
      </c>
      <c r="F56" s="1">
        <f>D56/B56*100</f>
        <v>40</v>
      </c>
      <c r="G56" s="1">
        <f>D56/C56*100</f>
        <v>40</v>
      </c>
      <c r="H56" s="48">
        <f t="shared" si="7"/>
        <v>120</v>
      </c>
      <c r="I56" s="48">
        <f t="shared" si="5"/>
        <v>120</v>
      </c>
    </row>
    <row r="57" spans="1:9" ht="18.75" thickBot="1">
      <c r="A57" s="26" t="s">
        <v>34</v>
      </c>
      <c r="B57" s="47">
        <f>B51-B52-B55-B54-B53-B56</f>
        <v>3799.5999999999995</v>
      </c>
      <c r="C57" s="47">
        <f>C51-C52-C55-C54-C53-C56</f>
        <v>5380.299999999997</v>
      </c>
      <c r="D57" s="47">
        <f>D51-D52-D55-D54-D53-D56</f>
        <v>2276.9999999999964</v>
      </c>
      <c r="E57" s="1">
        <f>D57/D51*100</f>
        <v>25.902374099901003</v>
      </c>
      <c r="F57" s="1">
        <f t="shared" si="6"/>
        <v>59.92736077481832</v>
      </c>
      <c r="G57" s="1">
        <f t="shared" si="4"/>
        <v>42.321060163931335</v>
      </c>
      <c r="H57" s="48">
        <f>B57-D57</f>
        <v>1522.600000000003</v>
      </c>
      <c r="I57" s="48">
        <f>C57-D57</f>
        <v>3103.300000000001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5287.8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</f>
        <v>1480.8999999999999</v>
      </c>
      <c r="E59" s="3">
        <f>D59/D150*100</f>
        <v>0.1729864119985216</v>
      </c>
      <c r="F59" s="3">
        <f>D59/B59*100</f>
        <v>28.005976020273078</v>
      </c>
      <c r="G59" s="3">
        <f t="shared" si="4"/>
        <v>24.152722053690837</v>
      </c>
      <c r="H59" s="51">
        <f>B59-D59</f>
        <v>3806.9000000000005</v>
      </c>
      <c r="I59" s="51">
        <f t="shared" si="5"/>
        <v>4650.5</v>
      </c>
    </row>
    <row r="60" spans="1:9" ht="18">
      <c r="A60" s="26" t="s">
        <v>3</v>
      </c>
      <c r="B60" s="46">
        <v>1124.3</v>
      </c>
      <c r="C60" s="47">
        <f>1508.2+134.4</f>
        <v>1642.6000000000001</v>
      </c>
      <c r="D60" s="48">
        <f>43.5+72.8+47.2+62.5+0.1+35.3+86.8+44.1+125.7+41.4+92.3+60.6+92.7+66.3+68.7-0.1+2</f>
        <v>941.9</v>
      </c>
      <c r="E60" s="1">
        <f>D60/D59*100</f>
        <v>63.603214261597685</v>
      </c>
      <c r="F60" s="1">
        <f t="shared" si="6"/>
        <v>83.7765720893</v>
      </c>
      <c r="G60" s="1">
        <f t="shared" si="4"/>
        <v>57.34201875076098</v>
      </c>
      <c r="H60" s="48">
        <f t="shared" si="7"/>
        <v>182.39999999999998</v>
      </c>
      <c r="I60" s="48">
        <f t="shared" si="5"/>
        <v>700.7000000000002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</f>
        <v>265.1</v>
      </c>
      <c r="E61" s="1">
        <f>D61/D59*100</f>
        <v>17.901276250928493</v>
      </c>
      <c r="F61" s="1">
        <f>D61/B61*100</f>
        <v>79.89752863170585</v>
      </c>
      <c r="G61" s="1">
        <f t="shared" si="4"/>
        <v>79.89752863170585</v>
      </c>
      <c r="H61" s="48">
        <f t="shared" si="7"/>
        <v>66.69999999999999</v>
      </c>
      <c r="I61" s="48">
        <f t="shared" si="5"/>
        <v>66.69999999999999</v>
      </c>
    </row>
    <row r="62" spans="1:9" ht="18">
      <c r="A62" s="26" t="s">
        <v>0</v>
      </c>
      <c r="B62" s="46">
        <v>372.4</v>
      </c>
      <c r="C62" s="47">
        <v>627.5</v>
      </c>
      <c r="D62" s="48">
        <f>4.7+45.7+4.9+40.9+19.8+3.9+46.3+9+12.6+0.9+3+0.3+2.8+0.3+0.1+2.2</f>
        <v>197.4</v>
      </c>
      <c r="E62" s="1">
        <f>D62/D59*100</f>
        <v>13.329731919778515</v>
      </c>
      <c r="F62" s="1">
        <f t="shared" si="6"/>
        <v>53.00751879699248</v>
      </c>
      <c r="G62" s="1">
        <f t="shared" si="4"/>
        <v>31.458167330677288</v>
      </c>
      <c r="H62" s="48">
        <f t="shared" si="7"/>
        <v>174.99999999999997</v>
      </c>
      <c r="I62" s="48">
        <f t="shared" si="5"/>
        <v>430.1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3331.4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127.8999999999998</v>
      </c>
      <c r="C64" s="47">
        <f>C59-C60-C62-C63-C61</f>
        <v>198.09999999999962</v>
      </c>
      <c r="D64" s="47">
        <f>D59-D60-D62-D63-D61</f>
        <v>76.49999999999989</v>
      </c>
      <c r="E64" s="1">
        <f>D64/D59*100</f>
        <v>5.165777567695313</v>
      </c>
      <c r="F64" s="1">
        <f t="shared" si="6"/>
        <v>59.81235340109461</v>
      </c>
      <c r="G64" s="1">
        <f t="shared" si="4"/>
        <v>38.616860171630506</v>
      </c>
      <c r="H64" s="48">
        <f t="shared" si="7"/>
        <v>51.39999999999992</v>
      </c>
      <c r="I64" s="48">
        <f t="shared" si="5"/>
        <v>121.59999999999974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208.6</v>
      </c>
      <c r="C69" s="50">
        <f>C70+C71</f>
        <v>369.7</v>
      </c>
      <c r="D69" s="51">
        <f>SUM(D70:D71)</f>
        <v>179.5</v>
      </c>
      <c r="E69" s="39">
        <f>D69/D150*100</f>
        <v>0.020967695964436917</v>
      </c>
      <c r="F69" s="3">
        <f>D69/B69*100</f>
        <v>86.04985618408438</v>
      </c>
      <c r="G69" s="3">
        <f t="shared" si="4"/>
        <v>48.55288071409251</v>
      </c>
      <c r="H69" s="51">
        <f>B69-D69</f>
        <v>29.099999999999994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f>198.7-161</f>
        <v>37.69999999999999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25.464190981432367</v>
      </c>
      <c r="G71" s="1">
        <f t="shared" si="4"/>
        <v>4.831404126824358</v>
      </c>
      <c r="H71" s="48">
        <f t="shared" si="7"/>
        <v>28.099999999999987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426</v>
      </c>
      <c r="C77" s="66">
        <f>10000-8192+3069.6</f>
        <v>4877.6</v>
      </c>
      <c r="D77" s="67"/>
      <c r="E77" s="45"/>
      <c r="F77" s="45"/>
      <c r="G77" s="45"/>
      <c r="H77" s="67">
        <f>B77-D77</f>
        <v>426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41178.9+123.9</f>
        <v>41302.8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</f>
        <v>33690.2</v>
      </c>
      <c r="E90" s="3">
        <f>D90/D150*100</f>
        <v>3.9354087497552785</v>
      </c>
      <c r="F90" s="3">
        <f aca="true" t="shared" si="10" ref="F90:F96">D90/B90*100</f>
        <v>81.56880405202551</v>
      </c>
      <c r="G90" s="3">
        <f t="shared" si="8"/>
        <v>56.81650687645982</v>
      </c>
      <c r="H90" s="51">
        <f aca="true" t="shared" si="11" ref="H90:H96">B90-D90</f>
        <v>7612.600000000006</v>
      </c>
      <c r="I90" s="51">
        <f t="shared" si="9"/>
        <v>25606.30000000001</v>
      </c>
    </row>
    <row r="91" spans="1:9" ht="18">
      <c r="A91" s="26" t="s">
        <v>3</v>
      </c>
      <c r="B91" s="46">
        <f>34565.2+33</f>
        <v>34598.2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</f>
        <v>28608.900000000005</v>
      </c>
      <c r="E91" s="1">
        <f>D91/D90*100</f>
        <v>84.91757246914536</v>
      </c>
      <c r="F91" s="1">
        <f t="shared" si="10"/>
        <v>82.68898381996753</v>
      </c>
      <c r="G91" s="1">
        <f t="shared" si="8"/>
        <v>57.58554126652806</v>
      </c>
      <c r="H91" s="48">
        <f t="shared" si="11"/>
        <v>5989.299999999992</v>
      </c>
      <c r="I91" s="48">
        <f t="shared" si="9"/>
        <v>21071.799999999992</v>
      </c>
    </row>
    <row r="92" spans="1:9" ht="18">
      <c r="A92" s="26" t="s">
        <v>32</v>
      </c>
      <c r="B92" s="46">
        <v>1280.6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</f>
        <v>1060.8999999999999</v>
      </c>
      <c r="E92" s="1">
        <f>D92/D90*100</f>
        <v>3.1489869457587067</v>
      </c>
      <c r="F92" s="1">
        <f t="shared" si="10"/>
        <v>82.84397938466344</v>
      </c>
      <c r="G92" s="1">
        <f t="shared" si="8"/>
        <v>50.00942773640048</v>
      </c>
      <c r="H92" s="48">
        <f t="shared" si="11"/>
        <v>219.70000000000005</v>
      </c>
      <c r="I92" s="48">
        <f t="shared" si="9"/>
        <v>1060.5000000000002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5424.0000000000055</v>
      </c>
      <c r="C94" s="47">
        <f>C90-C91-C92-C93</f>
        <v>7494.400000000011</v>
      </c>
      <c r="D94" s="47">
        <f>D90-D91-D92-D93</f>
        <v>4020.3999999999924</v>
      </c>
      <c r="E94" s="1">
        <f>D94/D90*100</f>
        <v>11.93344058509594</v>
      </c>
      <c r="F94" s="1">
        <f t="shared" si="10"/>
        <v>74.12241887905583</v>
      </c>
      <c r="G94" s="1">
        <f>D94/C94*100</f>
        <v>53.64538855678889</v>
      </c>
      <c r="H94" s="48">
        <f t="shared" si="11"/>
        <v>1403.600000000013</v>
      </c>
      <c r="I94" s="48">
        <f>C94-D94</f>
        <v>3474.000000000018</v>
      </c>
    </row>
    <row r="95" spans="1:9" ht="18.75">
      <c r="A95" s="116" t="s">
        <v>12</v>
      </c>
      <c r="B95" s="119">
        <f>58976.8+3744.2</f>
        <v>62721</v>
      </c>
      <c r="C95" s="121">
        <f>63500.4+11490.6+4535.2-1.1-1111.2</f>
        <v>78413.9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</f>
        <v>52543.7</v>
      </c>
      <c r="E95" s="115">
        <f>D95/D150*100</f>
        <v>6.137717696081248</v>
      </c>
      <c r="F95" s="118">
        <f t="shared" si="10"/>
        <v>83.77369621020073</v>
      </c>
      <c r="G95" s="114">
        <f>D95/C95*100</f>
        <v>67.00814523955574</v>
      </c>
      <c r="H95" s="120">
        <f t="shared" si="11"/>
        <v>10177.300000000003</v>
      </c>
      <c r="I95" s="130">
        <f>C95-D95</f>
        <v>25870.199999999997</v>
      </c>
    </row>
    <row r="96" spans="1:9" ht="18.75" thickBot="1">
      <c r="A96" s="117" t="s">
        <v>99</v>
      </c>
      <c r="B96" s="122">
        <f>3926.8+400+30</f>
        <v>4356.8</v>
      </c>
      <c r="C96" s="123">
        <f>5343.5+287.2+2416.8+30</f>
        <v>8077.5</v>
      </c>
      <c r="D96" s="124">
        <f>57.3+368.5+61.1+0.1+320+59+0.8+309+245.5+61.2+0.4-0.1+489+12.5+64.8+24.2+437.3+329.2+2.4+382.5+3.4+31.2+13.3+8.3+121.6+67.7+4.1+31.3</f>
        <v>3505.6000000000004</v>
      </c>
      <c r="E96" s="125">
        <f>D96/D95*100</f>
        <v>6.67177987085036</v>
      </c>
      <c r="F96" s="126">
        <f t="shared" si="10"/>
        <v>80.46272493573265</v>
      </c>
      <c r="G96" s="127">
        <f>D96/C96*100</f>
        <v>43.39956669761684</v>
      </c>
      <c r="H96" s="131">
        <f t="shared" si="11"/>
        <v>851.1999999999998</v>
      </c>
      <c r="I96" s="132">
        <f>C96-D96</f>
        <v>4571.9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6787.5+75.6</f>
        <v>6863.1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</f>
        <v>5158.800000000001</v>
      </c>
      <c r="E102" s="22">
        <f>D102/D150*100</f>
        <v>0.6026080776676167</v>
      </c>
      <c r="F102" s="22">
        <f>D102/B102*100</f>
        <v>75.16719849630634</v>
      </c>
      <c r="G102" s="22">
        <f aca="true" t="shared" si="12" ref="G102:G148">D102/C102*100</f>
        <v>49.155304004802346</v>
      </c>
      <c r="H102" s="87">
        <f aca="true" t="shared" si="13" ref="H102:H107">B102-D102</f>
        <v>1704.2999999999993</v>
      </c>
      <c r="I102" s="87">
        <f aca="true" t="shared" si="14" ref="I102:I148">C102-D102</f>
        <v>5336.0999999999985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15.1+18.9-0.1+18.6+22.1</f>
        <v>74.6</v>
      </c>
      <c r="E103" s="91">
        <f>D103/D102*100</f>
        <v>1.446072730092269</v>
      </c>
      <c r="F103" s="1">
        <f>D103/B103*100</f>
        <v>81.1751904243743</v>
      </c>
      <c r="G103" s="91">
        <f>D103/C103*100</f>
        <v>39.76545842217484</v>
      </c>
      <c r="H103" s="95">
        <f t="shared" si="13"/>
        <v>17.30000000000001</v>
      </c>
      <c r="I103" s="95">
        <f t="shared" si="14"/>
        <v>113</v>
      </c>
    </row>
    <row r="104" spans="1:9" ht="18">
      <c r="A104" s="93" t="s">
        <v>60</v>
      </c>
      <c r="B104" s="78">
        <f>5507.2+17.5</f>
        <v>5524.7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</f>
        <v>4501.4</v>
      </c>
      <c r="E104" s="1">
        <f>D104/D102*100</f>
        <v>87.25672637047373</v>
      </c>
      <c r="F104" s="1">
        <f aca="true" t="shared" si="15" ref="F104:F148">D104/B104*100</f>
        <v>81.47772729740981</v>
      </c>
      <c r="G104" s="1">
        <f t="shared" si="12"/>
        <v>52.361343755816115</v>
      </c>
      <c r="H104" s="48">
        <f t="shared" si="13"/>
        <v>1023.3000000000002</v>
      </c>
      <c r="I104" s="48">
        <f t="shared" si="14"/>
        <v>4095.3999999999996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1246.500000000001</v>
      </c>
      <c r="C106" s="96">
        <f>C102-C103-C104</f>
        <v>1710.5</v>
      </c>
      <c r="D106" s="96">
        <f>D102-D103-D104</f>
        <v>582.8000000000011</v>
      </c>
      <c r="E106" s="92">
        <f>D106/D102*100</f>
        <v>11.297200899433996</v>
      </c>
      <c r="F106" s="92">
        <f t="shared" si="15"/>
        <v>46.75491375852392</v>
      </c>
      <c r="G106" s="92">
        <f t="shared" si="12"/>
        <v>34.071908798596965</v>
      </c>
      <c r="H106" s="132">
        <f>B106-D106</f>
        <v>663.6999999999998</v>
      </c>
      <c r="I106" s="132">
        <f t="shared" si="14"/>
        <v>1127.699999999999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392632.5</v>
      </c>
      <c r="C107" s="89">
        <f>SUM(C108:C147)-C115-C119+C148-C139-C140-C109-C112-C122-C123-C137-C131-C129</f>
        <v>563446.5999999999</v>
      </c>
      <c r="D107" s="89">
        <f>SUM(D108:D147)-D115-D119+D148-D139-D140-D109-D112-D122-D123-D137-D131-D129</f>
        <v>327287.6</v>
      </c>
      <c r="E107" s="90">
        <f>D107/D150*100</f>
        <v>38.23101331326041</v>
      </c>
      <c r="F107" s="90">
        <f>D107/B107*100</f>
        <v>83.35723609227458</v>
      </c>
      <c r="G107" s="90">
        <f t="shared" si="12"/>
        <v>58.08671132277665</v>
      </c>
      <c r="H107" s="89">
        <f t="shared" si="13"/>
        <v>65344.90000000002</v>
      </c>
      <c r="I107" s="89">
        <f t="shared" si="14"/>
        <v>236158.99999999988</v>
      </c>
    </row>
    <row r="108" spans="1:9" ht="37.5">
      <c r="A108" s="31" t="s">
        <v>64</v>
      </c>
      <c r="B108" s="75">
        <v>1372</v>
      </c>
      <c r="C108" s="71">
        <v>2166.2</v>
      </c>
      <c r="D108" s="76">
        <f>142.7+0.9+78.6+37.4+44.2+140.1+1+20.9+25.7+0.2+2+0.6+0.4+1.8+1.5-0.1+62.6+2.1+1.9+2.9+1+9.8+0.1+52+4.8+2+1.2+2+5.2+2.6-0.1+56.3+43+2.2+0.3+6.3+0.1+46.4+1.3</f>
        <v>803.8999999999997</v>
      </c>
      <c r="E108" s="6">
        <f>D108/D107*100</f>
        <v>0.24562494882177016</v>
      </c>
      <c r="F108" s="6">
        <f t="shared" si="15"/>
        <v>58.593294460641374</v>
      </c>
      <c r="G108" s="6">
        <f t="shared" si="12"/>
        <v>37.11107007663188</v>
      </c>
      <c r="H108" s="65">
        <f aca="true" t="shared" si="16" ref="H108:H148">B108-D108</f>
        <v>568.1000000000003</v>
      </c>
      <c r="I108" s="65">
        <f t="shared" si="14"/>
        <v>1362.3000000000002</v>
      </c>
    </row>
    <row r="109" spans="1:9" ht="18">
      <c r="A109" s="26" t="s">
        <v>32</v>
      </c>
      <c r="B109" s="78">
        <v>725.6</v>
      </c>
      <c r="C109" s="48">
        <v>1213.5</v>
      </c>
      <c r="D109" s="79">
        <f>142.7+0.9+78.6+37.4+20.9+42.5+24.8+0.6+32.7+0.1+16.7</f>
        <v>397.9</v>
      </c>
      <c r="E109" s="1">
        <f>D109/D108*100</f>
        <v>49.49620599577063</v>
      </c>
      <c r="F109" s="1">
        <f t="shared" si="15"/>
        <v>54.837375964718845</v>
      </c>
      <c r="G109" s="1">
        <f t="shared" si="12"/>
        <v>32.78945199835187</v>
      </c>
      <c r="H109" s="48">
        <f t="shared" si="16"/>
        <v>327.70000000000005</v>
      </c>
      <c r="I109" s="48">
        <f t="shared" si="14"/>
        <v>815.6</v>
      </c>
    </row>
    <row r="110" spans="1:9" ht="34.5" customHeight="1">
      <c r="A110" s="16" t="s">
        <v>94</v>
      </c>
      <c r="B110" s="77">
        <v>412.7</v>
      </c>
      <c r="C110" s="65">
        <v>778.3</v>
      </c>
      <c r="D110" s="76">
        <f>26.5+20.2+7.7+37.4+7.5+38.9-0.1+38.9+12.6+45.5+9.7+1.6+37.6-0.1+56.2</f>
        <v>340.09999999999997</v>
      </c>
      <c r="E110" s="6">
        <f>D110/D107*100</f>
        <v>0.10391472209762911</v>
      </c>
      <c r="F110" s="6">
        <f>D110/B110*100</f>
        <v>82.40852919796463</v>
      </c>
      <c r="G110" s="6">
        <f t="shared" si="12"/>
        <v>43.69780290376462</v>
      </c>
      <c r="H110" s="65">
        <f t="shared" si="16"/>
        <v>72.60000000000002</v>
      </c>
      <c r="I110" s="65">
        <f t="shared" si="14"/>
        <v>438.2</v>
      </c>
    </row>
    <row r="111" spans="1:9" s="41" customFormat="1" ht="34.5" customHeight="1">
      <c r="A111" s="16" t="s">
        <v>70</v>
      </c>
      <c r="B111" s="77">
        <v>631.6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631.6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0.0039414875479547645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1190.7</v>
      </c>
      <c r="C114" s="65">
        <v>1795.8</v>
      </c>
      <c r="D114" s="76">
        <f>82.2+4.4+0.2+16.8+100.8+0.1+8.3+21.3+93.2+14.5+11.8+88.2+4.6+1.1+5.8+6+2.3+112.3+12.6+0.8+1.5+0.2+0.2+72.9+5.6+10.9+0.3+11.7+5.8+0.6+108.3+0.1+3</f>
        <v>808.4000000000001</v>
      </c>
      <c r="E114" s="6">
        <f>D114/D107*100</f>
        <v>0.24699988633849865</v>
      </c>
      <c r="F114" s="6">
        <f t="shared" si="15"/>
        <v>67.8928361468044</v>
      </c>
      <c r="G114" s="6">
        <f t="shared" si="12"/>
        <v>45.01614879162491</v>
      </c>
      <c r="H114" s="65">
        <f t="shared" si="16"/>
        <v>382.29999999999995</v>
      </c>
      <c r="I114" s="65">
        <f t="shared" si="14"/>
        <v>987.3999999999999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96.5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96.5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>
        <f>15</f>
        <v>15</v>
      </c>
      <c r="E117" s="6">
        <f>D117/D107*100</f>
        <v>0.004583125055761355</v>
      </c>
      <c r="F117" s="6">
        <f>D117/B117*100</f>
        <v>14.285714285714285</v>
      </c>
      <c r="G117" s="6">
        <f t="shared" si="12"/>
        <v>13.636363636363635</v>
      </c>
      <c r="H117" s="65">
        <f t="shared" si="16"/>
        <v>90</v>
      </c>
      <c r="I117" s="65">
        <f t="shared" si="14"/>
        <v>95</v>
      </c>
    </row>
    <row r="118" spans="1:9" s="2" customFormat="1" ht="18.75">
      <c r="A118" s="16" t="s">
        <v>16</v>
      </c>
      <c r="B118" s="77">
        <v>141.6</v>
      </c>
      <c r="C118" s="57">
        <f>229.6+4.4</f>
        <v>234</v>
      </c>
      <c r="D118" s="76">
        <f>17.1-0.3+0.8+0.3+21.4+4.2+0.3+17.6+4.2+0.8+0.3+16.8+0.3+2+2.2+17.7+1.1+4.1+17.7+0.8+4.3+0.3+1.6</f>
        <v>135.6</v>
      </c>
      <c r="E118" s="6">
        <f>D118/D107*100</f>
        <v>0.041431450504082645</v>
      </c>
      <c r="F118" s="6">
        <f t="shared" si="15"/>
        <v>95.76271186440678</v>
      </c>
      <c r="G118" s="6">
        <f t="shared" si="12"/>
        <v>57.94871794871794</v>
      </c>
      <c r="H118" s="65">
        <f t="shared" si="16"/>
        <v>6</v>
      </c>
      <c r="I118" s="65">
        <f t="shared" si="14"/>
        <v>98.4</v>
      </c>
    </row>
    <row r="119" spans="1:9" s="36" customFormat="1" ht="18">
      <c r="A119" s="37" t="s">
        <v>53</v>
      </c>
      <c r="B119" s="78">
        <v>102.6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75.6637168141593</v>
      </c>
      <c r="F119" s="1">
        <f t="shared" si="15"/>
        <v>100.00000000000003</v>
      </c>
      <c r="G119" s="1">
        <f t="shared" si="12"/>
        <v>58.76288659793815</v>
      </c>
      <c r="H119" s="48">
        <f t="shared" si="16"/>
        <v>0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</f>
        <v>204.10000000000002</v>
      </c>
      <c r="E121" s="17">
        <f>D121/D107*100</f>
        <v>0.06236105492539285</v>
      </c>
      <c r="F121" s="6">
        <f t="shared" si="15"/>
        <v>35.888869351151754</v>
      </c>
      <c r="G121" s="6">
        <f t="shared" si="12"/>
        <v>35.888869351151754</v>
      </c>
      <c r="H121" s="65">
        <f t="shared" si="16"/>
        <v>364.6</v>
      </c>
      <c r="I121" s="65">
        <f t="shared" si="14"/>
        <v>364.6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</f>
        <v>57.4</v>
      </c>
      <c r="E122" s="6"/>
      <c r="F122" s="1">
        <f>D122/B122*100</f>
        <v>71.75</v>
      </c>
      <c r="G122" s="1">
        <f t="shared" si="12"/>
        <v>71.75</v>
      </c>
      <c r="H122" s="48">
        <f t="shared" si="16"/>
        <v>22.6</v>
      </c>
      <c r="I122" s="48">
        <f t="shared" si="14"/>
        <v>22.6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f>12357.6+5109.4</f>
        <v>17467</v>
      </c>
      <c r="C124" s="57">
        <f>5096.9+1707.5+6000+16669.6</f>
        <v>29474</v>
      </c>
      <c r="D124" s="80">
        <f>3776+7.6+1124+100+14.3+14.5+0.1+20.4+3015.8+9+1156.5+27+0.1+1146.6+5.2+681+29.9+16.3+480.3+117.6</f>
        <v>11742.2</v>
      </c>
      <c r="E124" s="17">
        <f>D124/D107*100</f>
        <v>3.587731401984066</v>
      </c>
      <c r="F124" s="6">
        <f t="shared" si="15"/>
        <v>67.22505295700464</v>
      </c>
      <c r="G124" s="6">
        <f t="shared" si="12"/>
        <v>39.83918029449684</v>
      </c>
      <c r="H124" s="65">
        <f t="shared" si="16"/>
        <v>5724.799999999999</v>
      </c>
      <c r="I124" s="65">
        <f t="shared" si="14"/>
        <v>17731.8</v>
      </c>
    </row>
    <row r="125" spans="1:9" s="2" customFormat="1" ht="18.75">
      <c r="A125" s="16" t="s">
        <v>117</v>
      </c>
      <c r="B125" s="77">
        <f>955-150</f>
        <v>805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805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v>89.9</v>
      </c>
      <c r="C127" s="57">
        <v>95.1</v>
      </c>
      <c r="D127" s="80">
        <f>4.5+17.5+0.7</f>
        <v>22.7</v>
      </c>
      <c r="E127" s="17">
        <f>D127/D107*100</f>
        <v>0.00693579591771885</v>
      </c>
      <c r="F127" s="6">
        <f t="shared" si="15"/>
        <v>25.250278086763068</v>
      </c>
      <c r="G127" s="6">
        <f t="shared" si="12"/>
        <v>23.869610935856993</v>
      </c>
      <c r="H127" s="65">
        <f t="shared" si="16"/>
        <v>67.2</v>
      </c>
      <c r="I127" s="65">
        <f t="shared" si="14"/>
        <v>72.39999999999999</v>
      </c>
    </row>
    <row r="128" spans="1:9" s="2" customFormat="1" ht="37.5">
      <c r="A128" s="16" t="s">
        <v>73</v>
      </c>
      <c r="B128" s="77">
        <v>627.8</v>
      </c>
      <c r="C128" s="57">
        <v>983</v>
      </c>
      <c r="D128" s="80">
        <f>2.8+14.4+2.8+8.8+3.7+4+2.8+5.8+9.6+4.2+2.7+0.2+2.9+76+0.5+2.6+4.7+5.9+2.9</f>
        <v>157.29999999999998</v>
      </c>
      <c r="E128" s="17">
        <f>D128/D107*100</f>
        <v>0.048061704751417404</v>
      </c>
      <c r="F128" s="6">
        <f t="shared" si="15"/>
        <v>25.055750238929598</v>
      </c>
      <c r="G128" s="6">
        <f t="shared" si="12"/>
        <v>16.00203458799593</v>
      </c>
      <c r="H128" s="65">
        <f t="shared" si="16"/>
        <v>470.5</v>
      </c>
      <c r="I128" s="65">
        <f t="shared" si="14"/>
        <v>825.7</v>
      </c>
    </row>
    <row r="129" spans="1:9" s="36" customFormat="1" ht="18">
      <c r="A129" s="26" t="s">
        <v>110</v>
      </c>
      <c r="B129" s="78">
        <v>540.9</v>
      </c>
      <c r="C129" s="48">
        <v>851.8</v>
      </c>
      <c r="D129" s="79">
        <f>2.8+2.8-0.1+2.8+2.7+2.9+70.7+4.7+2.9</f>
        <v>92.20000000000002</v>
      </c>
      <c r="E129" s="1">
        <f>D129/D128*100</f>
        <v>58.61411315956773</v>
      </c>
      <c r="F129" s="1">
        <f>D129/B129*100</f>
        <v>17.045664633019047</v>
      </c>
      <c r="G129" s="1">
        <f t="shared" si="12"/>
        <v>10.82413712139</v>
      </c>
      <c r="H129" s="48">
        <f t="shared" si="16"/>
        <v>448.69999999999993</v>
      </c>
      <c r="I129" s="48">
        <f t="shared" si="14"/>
        <v>759.5999999999999</v>
      </c>
    </row>
    <row r="130" spans="1:9" s="2" customFormat="1" ht="37.5">
      <c r="A130" s="16" t="s">
        <v>121</v>
      </c>
      <c r="B130" s="77">
        <v>0</v>
      </c>
      <c r="C130" s="57">
        <v>400</v>
      </c>
      <c r="D130" s="80"/>
      <c r="E130" s="17">
        <f>D130/D107*100</f>
        <v>0</v>
      </c>
      <c r="F130" s="133" t="e">
        <f t="shared" si="15"/>
        <v>#DIV/0!</v>
      </c>
      <c r="G130" s="6">
        <f t="shared" si="12"/>
        <v>0</v>
      </c>
      <c r="H130" s="65">
        <f t="shared" si="16"/>
        <v>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44.1</v>
      </c>
      <c r="C132" s="57">
        <v>64.1</v>
      </c>
      <c r="D132" s="80">
        <f>0.8+2.3+1.8+1+14.8</f>
        <v>20.7</v>
      </c>
      <c r="E132" s="17">
        <f>D132/D107*100</f>
        <v>0.006324712576950669</v>
      </c>
      <c r="F132" s="6">
        <f t="shared" si="15"/>
        <v>46.93877551020408</v>
      </c>
      <c r="G132" s="6">
        <f t="shared" si="12"/>
        <v>32.293291731669264</v>
      </c>
      <c r="H132" s="65">
        <f t="shared" si="16"/>
        <v>23.400000000000002</v>
      </c>
      <c r="I132" s="65">
        <f t="shared" si="14"/>
        <v>43.39999999999999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v>189.2</v>
      </c>
      <c r="C134" s="57">
        <v>600</v>
      </c>
      <c r="D134" s="80">
        <f>0.8+5+0.9+2.6-0.1+0.6+0.1</f>
        <v>9.9</v>
      </c>
      <c r="E134" s="17">
        <f>D134/D107*100</f>
        <v>0.0030248625368024945</v>
      </c>
      <c r="F134" s="6">
        <f t="shared" si="15"/>
        <v>5.232558139534884</v>
      </c>
      <c r="G134" s="6">
        <f t="shared" si="12"/>
        <v>1.6500000000000001</v>
      </c>
      <c r="H134" s="65">
        <f t="shared" si="16"/>
        <v>179.29999999999998</v>
      </c>
      <c r="I134" s="65">
        <f t="shared" si="14"/>
        <v>590.1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229.7</v>
      </c>
      <c r="C136" s="57">
        <v>363.7</v>
      </c>
      <c r="D136" s="80">
        <f>5.2+0.3+2.7+0.1+0.5+0.2+13.8+39.2+5+5.9+2+6.5+0.1+32.4+5+3.9+0.2+0.7+8.4+0.1+0.1+3+4.4+0.1+5.5</f>
        <v>145.3</v>
      </c>
      <c r="E136" s="17">
        <f>D136/D107*100</f>
        <v>0.044395204706808335</v>
      </c>
      <c r="F136" s="6">
        <f t="shared" si="15"/>
        <v>63.2564214192425</v>
      </c>
      <c r="G136" s="6">
        <f>D136/C136*100</f>
        <v>39.950508660984326</v>
      </c>
      <c r="H136" s="65">
        <f t="shared" si="16"/>
        <v>84.39999999999998</v>
      </c>
      <c r="I136" s="65">
        <f t="shared" si="14"/>
        <v>218.39999999999998</v>
      </c>
    </row>
    <row r="137" spans="1:9" s="36" customFormat="1" ht="18">
      <c r="A137" s="26" t="s">
        <v>32</v>
      </c>
      <c r="B137" s="78">
        <v>133.3</v>
      </c>
      <c r="C137" s="48">
        <v>218.8</v>
      </c>
      <c r="D137" s="79">
        <f>0.3+39.3+0.2+2+32.4+0.2-0.1+5.4+0.1+5.5</f>
        <v>85.3</v>
      </c>
      <c r="E137" s="111">
        <f>D137/D136*100</f>
        <v>58.70612525808671</v>
      </c>
      <c r="F137" s="1">
        <f t="shared" si="15"/>
        <v>63.99099774943735</v>
      </c>
      <c r="G137" s="1">
        <f>D137/C137*100</f>
        <v>38.9853747714808</v>
      </c>
      <c r="H137" s="48">
        <f t="shared" si="16"/>
        <v>48.000000000000014</v>
      </c>
      <c r="I137" s="48">
        <f t="shared" si="14"/>
        <v>133.5</v>
      </c>
    </row>
    <row r="138" spans="1:9" s="2" customFormat="1" ht="18.75">
      <c r="A138" s="16" t="s">
        <v>31</v>
      </c>
      <c r="B138" s="77">
        <v>781.9</v>
      </c>
      <c r="C138" s="57">
        <f>1160.2+12+85</f>
        <v>1257.2</v>
      </c>
      <c r="D138" s="80">
        <f>26.5+42.3+30.1+3.6+8.6+42.3+0.1+5.7+31.9+5.2+42.5+11.7+55+45.4+28.3+17.8+9.6+33.4+0.9+26.8+46.9+38.1-0.1+30.6+29.1+43.2+28.9</f>
        <v>684.4</v>
      </c>
      <c r="E138" s="17">
        <f>D138/D107*100</f>
        <v>0.20911271921087143</v>
      </c>
      <c r="F138" s="6">
        <f t="shared" si="15"/>
        <v>87.5303747282261</v>
      </c>
      <c r="G138" s="6">
        <f t="shared" si="12"/>
        <v>54.43843461660833</v>
      </c>
      <c r="H138" s="65">
        <f t="shared" si="16"/>
        <v>97.5</v>
      </c>
      <c r="I138" s="65">
        <f t="shared" si="14"/>
        <v>572.8000000000001</v>
      </c>
    </row>
    <row r="139" spans="1:9" s="36" customFormat="1" ht="18">
      <c r="A139" s="37" t="s">
        <v>53</v>
      </c>
      <c r="B139" s="78">
        <v>585.7</v>
      </c>
      <c r="C139" s="48">
        <v>886.2</v>
      </c>
      <c r="D139" s="79">
        <f>26.5+39.8+30.1+42.1+0.1+31.9+40.5+11.2+38.1+30.1+28.3+17.4+33.4+8.9+24.2+37.9+28.8+43.2</f>
        <v>512.5</v>
      </c>
      <c r="E139" s="1">
        <f>D139/D138*100</f>
        <v>74.88310929281123</v>
      </c>
      <c r="F139" s="1">
        <f aca="true" t="shared" si="17" ref="F139:F147">D139/B139*100</f>
        <v>87.50213419839508</v>
      </c>
      <c r="G139" s="1">
        <f t="shared" si="12"/>
        <v>57.83118934777703</v>
      </c>
      <c r="H139" s="48">
        <f t="shared" si="16"/>
        <v>73.20000000000005</v>
      </c>
      <c r="I139" s="48">
        <f t="shared" si="14"/>
        <v>373.70000000000005</v>
      </c>
    </row>
    <row r="140" spans="1:9" s="36" customFormat="1" ht="18">
      <c r="A140" s="26" t="s">
        <v>32</v>
      </c>
      <c r="B140" s="78">
        <v>23.2</v>
      </c>
      <c r="C140" s="48">
        <v>39.3</v>
      </c>
      <c r="D140" s="79">
        <f>8.6+0.2+0.3+5.1+0.4+5.3+0.3+0.3+0.2+0.3</f>
        <v>21</v>
      </c>
      <c r="E140" s="1">
        <f>D140/D138*100</f>
        <v>3.0683810637054356</v>
      </c>
      <c r="F140" s="1">
        <f t="shared" si="17"/>
        <v>90.51724137931035</v>
      </c>
      <c r="G140" s="1">
        <f>D140/C140*100</f>
        <v>53.43511450381679</v>
      </c>
      <c r="H140" s="48">
        <f t="shared" si="16"/>
        <v>2.1999999999999993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0.10541187628251115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f>28545.7+420</f>
        <v>28965.7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</f>
        <v>23171.199999999997</v>
      </c>
      <c r="E143" s="17">
        <f>D143/D107*100</f>
        <v>7.079767152803833</v>
      </c>
      <c r="F143" s="107">
        <f t="shared" si="17"/>
        <v>79.99530479152928</v>
      </c>
      <c r="G143" s="6">
        <f t="shared" si="12"/>
        <v>58.297166808816826</v>
      </c>
      <c r="H143" s="65">
        <f t="shared" si="16"/>
        <v>5794.500000000004</v>
      </c>
      <c r="I143" s="65">
        <f t="shared" si="14"/>
        <v>16575.5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0.6398042577842852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0.18414996474049125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292122.8+24260.8</f>
        <v>316383.6</v>
      </c>
      <c r="C147" s="57">
        <f>298394.8+81857.1-188.4+8192+4136.9-39.9+58207.6</f>
        <v>450560.1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</f>
        <v>269054.60000000003</v>
      </c>
      <c r="E147" s="17">
        <f>D147/D107*100</f>
        <v>82.20739190852329</v>
      </c>
      <c r="F147" s="6">
        <f t="shared" si="17"/>
        <v>85.0406278960098</v>
      </c>
      <c r="G147" s="6">
        <f t="shared" si="12"/>
        <v>59.71558511284067</v>
      </c>
      <c r="H147" s="65">
        <f t="shared" si="16"/>
        <v>47328.99999999994</v>
      </c>
      <c r="I147" s="65">
        <f t="shared" si="14"/>
        <v>181505.49999999994</v>
      </c>
      <c r="K147" s="99"/>
      <c r="L147" s="42"/>
    </row>
    <row r="148" spans="1:12" s="2" customFormat="1" ht="18.75">
      <c r="A148" s="16" t="s">
        <v>104</v>
      </c>
      <c r="B148" s="77">
        <v>19334.4</v>
      </c>
      <c r="C148" s="57">
        <v>29001.6</v>
      </c>
      <c r="D148" s="80">
        <f>805.6+805.6+805.6+805.6+805.6+805.6+805.6+805.6+805.6+805.6+805.6+805.6+805.6+805.6+805.6+805.6+805.6+805.6+805.6+805.6+805.6</f>
        <v>16917.600000000006</v>
      </c>
      <c r="E148" s="17">
        <f>D148/D107*100</f>
        <v>5.1690317628898885</v>
      </c>
      <c r="F148" s="6">
        <f t="shared" si="15"/>
        <v>87.50000000000003</v>
      </c>
      <c r="G148" s="6">
        <f t="shared" si="12"/>
        <v>58.33333333333336</v>
      </c>
      <c r="H148" s="65">
        <f t="shared" si="16"/>
        <v>2416.7999999999956</v>
      </c>
      <c r="I148" s="65">
        <f t="shared" si="14"/>
        <v>12083.999999999993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400905.6</v>
      </c>
      <c r="C149" s="81">
        <f>C43+C69+C72+C77+C79+C87+C102+C107+C100+C84+C98</f>
        <v>580527.2999999998</v>
      </c>
      <c r="D149" s="57">
        <f>D43+D69+D72+D77+D79+D87+D102+D107+D100+D84+D98</f>
        <v>333181.89999999997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1024512.3</v>
      </c>
      <c r="C150" s="51">
        <f>C6+C18+C33+C43+C51+C59+C69+C72+C77+C79+C87+C90+C95+C102+C107+C100+C84+C98+C45</f>
        <v>1503306.8999999997</v>
      </c>
      <c r="D150" s="51">
        <f>D6+D18+D33+D43+D51+D59+D69+D72+D77+D79+D87+D90+D95+D102+D107+D100+D84+D98+D45</f>
        <v>856078.8</v>
      </c>
      <c r="E150" s="35">
        <v>100</v>
      </c>
      <c r="F150" s="3">
        <f>D150/B150*100</f>
        <v>83.5596410116306</v>
      </c>
      <c r="G150" s="3">
        <f aca="true" t="shared" si="18" ref="G150:G156">D150/C150*100</f>
        <v>56.94637601942758</v>
      </c>
      <c r="H150" s="51">
        <f aca="true" t="shared" si="19" ref="H150:H156">B150-D150</f>
        <v>168433.5</v>
      </c>
      <c r="I150" s="51">
        <f aca="true" t="shared" si="20" ref="I150:I156">C150-D150</f>
        <v>647228.0999999996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403569.4</v>
      </c>
      <c r="C151" s="64">
        <f>C8+C20+C34+C52+C60+C91+C115+C119+C46+C139+C131+C103</f>
        <v>608055.8999999997</v>
      </c>
      <c r="D151" s="64">
        <f>D8+D20+D34+D52+D60+D91+D115+D119+D46+D139+D131+D103</f>
        <v>359146.6</v>
      </c>
      <c r="E151" s="6">
        <f>D151/D150*100</f>
        <v>41.952516520675424</v>
      </c>
      <c r="F151" s="6">
        <f aca="true" t="shared" si="21" ref="F151:F162">D151/B151*100</f>
        <v>88.9925252013656</v>
      </c>
      <c r="G151" s="6">
        <f t="shared" si="18"/>
        <v>59.0647340154088</v>
      </c>
      <c r="H151" s="65">
        <f t="shared" si="19"/>
        <v>44422.80000000005</v>
      </c>
      <c r="I151" s="76">
        <f t="shared" si="20"/>
        <v>248909.2999999997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72502.6</v>
      </c>
      <c r="C152" s="65">
        <f>C11+C23+C36+C55+C62+C92+C49+C140+C109+C112+C96+C137</f>
        <v>121928.70000000001</v>
      </c>
      <c r="D152" s="65">
        <f>D11+D23+D36+D55+D62+D92+D49+D140+D109+D112+D96+D137</f>
        <v>52523.200000000004</v>
      </c>
      <c r="E152" s="6">
        <f>D152/D150*100</f>
        <v>6.135323056709266</v>
      </c>
      <c r="F152" s="6">
        <f t="shared" si="21"/>
        <v>72.44319514058806</v>
      </c>
      <c r="G152" s="6">
        <f t="shared" si="18"/>
        <v>43.07697859486733</v>
      </c>
      <c r="H152" s="65">
        <f t="shared" si="19"/>
        <v>19979.4</v>
      </c>
      <c r="I152" s="76">
        <f t="shared" si="20"/>
        <v>69405.5</v>
      </c>
      <c r="K152" s="43"/>
      <c r="L152" s="98"/>
    </row>
    <row r="153" spans="1:12" ht="18.75">
      <c r="A153" s="20" t="s">
        <v>1</v>
      </c>
      <c r="B153" s="64">
        <f>B22+B10+B54+B48+B61+B35+B123</f>
        <v>22291.899999999998</v>
      </c>
      <c r="C153" s="64">
        <f>C22+C10+C54+C48+C61+C35+C123</f>
        <v>31721.800000000003</v>
      </c>
      <c r="D153" s="64">
        <f>D22+D10+D54+D48+D61+D35+D123</f>
        <v>17346.300000000007</v>
      </c>
      <c r="E153" s="6">
        <f>D153/D150*100</f>
        <v>2.026250387230709</v>
      </c>
      <c r="F153" s="6">
        <f t="shared" si="21"/>
        <v>77.81436306461094</v>
      </c>
      <c r="G153" s="6">
        <f t="shared" si="18"/>
        <v>54.68258421653249</v>
      </c>
      <c r="H153" s="65">
        <f t="shared" si="19"/>
        <v>4945.599999999991</v>
      </c>
      <c r="I153" s="76">
        <f t="shared" si="20"/>
        <v>14375.499999999996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19716.500000000004</v>
      </c>
      <c r="C154" s="64">
        <f>C12+C24+C104+C63+C38+C93+C129+C56</f>
        <v>29372.4</v>
      </c>
      <c r="D154" s="64">
        <f>D12+D24+D104+D63+D38+D93+D129+D56</f>
        <v>13120.000000000002</v>
      </c>
      <c r="E154" s="6">
        <f>D154/D150*100</f>
        <v>1.5325691980691498</v>
      </c>
      <c r="F154" s="6">
        <f t="shared" si="21"/>
        <v>66.54325057692795</v>
      </c>
      <c r="G154" s="6">
        <f t="shared" si="18"/>
        <v>44.6677833612507</v>
      </c>
      <c r="H154" s="65">
        <f t="shared" si="19"/>
        <v>6596.500000000002</v>
      </c>
      <c r="I154" s="76">
        <f t="shared" si="20"/>
        <v>16252.4</v>
      </c>
      <c r="K154" s="43"/>
      <c r="L154" s="98"/>
    </row>
    <row r="155" spans="1:12" ht="18.75">
      <c r="A155" s="20" t="s">
        <v>2</v>
      </c>
      <c r="B155" s="64">
        <f>B9+B21+B47+B53+B122</f>
        <v>16993.9</v>
      </c>
      <c r="C155" s="64">
        <f>C9+C21+C47+C53+C122</f>
        <v>22288.699999999997</v>
      </c>
      <c r="D155" s="64">
        <f>D9+D21+D47+D53+D122</f>
        <v>13125.2</v>
      </c>
      <c r="E155" s="6">
        <f>D155/D150*100</f>
        <v>1.5331766187878966</v>
      </c>
      <c r="F155" s="6">
        <f t="shared" si="21"/>
        <v>77.23477247718299</v>
      </c>
      <c r="G155" s="6">
        <f t="shared" si="18"/>
        <v>58.88723882505486</v>
      </c>
      <c r="H155" s="65">
        <f t="shared" si="19"/>
        <v>3868.7000000000007</v>
      </c>
      <c r="I155" s="76">
        <f t="shared" si="20"/>
        <v>9163.499999999996</v>
      </c>
      <c r="K155" s="43"/>
      <c r="L155" s="44"/>
    </row>
    <row r="156" spans="1:12" ht="19.5" thickBot="1">
      <c r="A156" s="20" t="s">
        <v>34</v>
      </c>
      <c r="B156" s="64">
        <f>B150-B151-B152-B153-B154-B155</f>
        <v>489438</v>
      </c>
      <c r="C156" s="64">
        <f>C150-C151-C152-C153-C154-C155</f>
        <v>689939.4</v>
      </c>
      <c r="D156" s="64">
        <f>D150-D151-D152-D153-D154-D155</f>
        <v>400817.50000000006</v>
      </c>
      <c r="E156" s="6">
        <f>D156/D150*100</f>
        <v>46.82016421852755</v>
      </c>
      <c r="F156" s="6">
        <f t="shared" si="21"/>
        <v>81.89341653079656</v>
      </c>
      <c r="G156" s="40">
        <f t="shared" si="18"/>
        <v>58.094594974573134</v>
      </c>
      <c r="H156" s="65">
        <f t="shared" si="19"/>
        <v>88620.49999999994</v>
      </c>
      <c r="I156" s="65">
        <f t="shared" si="20"/>
        <v>289121.89999999997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28490-340+500+1367.8</f>
        <v>30017.8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33+3.1+31.8+118.6+8.5+18.3+41+591.6+0.1+448.4+20+14.4+41.3+31.5+458.7+42.9+92.6+54.3+185.1+276.9+138.9+420.8+189.7+128.4+1374+1199.8+948.5+463.6+2.3+2.2+200+677.2-390.9+28.9+159.7+371.4+9.6+31.3</f>
        <v>8467.500000000002</v>
      </c>
      <c r="E158" s="14"/>
      <c r="F158" s="6">
        <f t="shared" si="21"/>
        <v>28.208263097228986</v>
      </c>
      <c r="G158" s="6">
        <f aca="true" t="shared" si="22" ref="G158:G167">D158/C158*100</f>
        <v>20.447070641701163</v>
      </c>
      <c r="H158" s="65">
        <f>B158-D158</f>
        <v>21550.299999999996</v>
      </c>
      <c r="I158" s="65">
        <f aca="true" t="shared" si="23" ref="I158:I167">C158-D158</f>
        <v>32944.299999999996</v>
      </c>
      <c r="K158" s="43"/>
      <c r="L158" s="43"/>
    </row>
    <row r="159" spans="1:12" ht="18.75">
      <c r="A159" s="20" t="s">
        <v>22</v>
      </c>
      <c r="B159" s="85">
        <f>38636.8-318.6</f>
        <v>38318.200000000004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100+49.9+293.6+174.2+159.5+52+404.4+89.3+150+694.7+650+637.7+888.1+1549.4+1150.4+28.8+73+685+233.1+79.4+200+254.7+419.8+99.5+57.1+1.6+2862.1+4096.9+63.4+185.1+178.3+1864.4+0.1+67.7+62.8+1037.9+2.3+1408.4</f>
        <v>21004.600000000002</v>
      </c>
      <c r="E159" s="6"/>
      <c r="F159" s="6">
        <f t="shared" si="21"/>
        <v>54.81624919750928</v>
      </c>
      <c r="G159" s="6">
        <f t="shared" si="22"/>
        <v>37.46680009061413</v>
      </c>
      <c r="H159" s="65">
        <f aca="true" t="shared" si="24" ref="H159:H166">B159-D159</f>
        <v>17313.600000000002</v>
      </c>
      <c r="I159" s="65">
        <f t="shared" si="23"/>
        <v>35057.3</v>
      </c>
      <c r="K159" s="43"/>
      <c r="L159" s="43"/>
    </row>
    <row r="160" spans="1:12" ht="18.75">
      <c r="A160" s="20" t="s">
        <v>58</v>
      </c>
      <c r="B160" s="85">
        <f>223365.2-500+23211.5</f>
        <v>246076.7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</f>
        <v>134656.6</v>
      </c>
      <c r="E160" s="6"/>
      <c r="F160" s="6">
        <f t="shared" si="21"/>
        <v>54.72139377681836</v>
      </c>
      <c r="G160" s="6">
        <f t="shared" si="22"/>
        <v>36.066793552703686</v>
      </c>
      <c r="H160" s="65">
        <f t="shared" si="24"/>
        <v>111420.1</v>
      </c>
      <c r="I160" s="65">
        <f t="shared" si="23"/>
        <v>238696.80000000002</v>
      </c>
      <c r="K160" s="43"/>
      <c r="L160" s="43"/>
    </row>
    <row r="161" spans="1:12" ht="37.5">
      <c r="A161" s="20" t="s">
        <v>67</v>
      </c>
      <c r="B161" s="85">
        <v>3200.2</v>
      </c>
      <c r="C161" s="64">
        <v>4923.4</v>
      </c>
      <c r="D161" s="64">
        <f>1477+1723.2</f>
        <v>3200.2</v>
      </c>
      <c r="E161" s="6"/>
      <c r="F161" s="6">
        <f t="shared" si="21"/>
        <v>100</v>
      </c>
      <c r="G161" s="6">
        <f t="shared" si="22"/>
        <v>64.99979688832921</v>
      </c>
      <c r="H161" s="65">
        <f t="shared" si="24"/>
        <v>0</v>
      </c>
      <c r="I161" s="65">
        <f t="shared" si="23"/>
        <v>1723.1999999999998</v>
      </c>
      <c r="K161" s="43"/>
      <c r="L161" s="43"/>
    </row>
    <row r="162" spans="1:12" ht="18.75">
      <c r="A162" s="20" t="s">
        <v>13</v>
      </c>
      <c r="B162" s="85">
        <v>11804.7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</f>
        <v>5692.299999999998</v>
      </c>
      <c r="E162" s="17"/>
      <c r="F162" s="6">
        <f t="shared" si="21"/>
        <v>48.220623988750226</v>
      </c>
      <c r="G162" s="6">
        <f t="shared" si="22"/>
        <v>41.603993539003504</v>
      </c>
      <c r="H162" s="65">
        <f t="shared" si="24"/>
        <v>6112.400000000002</v>
      </c>
      <c r="I162" s="65">
        <f t="shared" si="23"/>
        <v>7989.800000000002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1355100.5999999999</v>
      </c>
      <c r="C167" s="87">
        <f>C150+C158+C162+C163+C159+C166+C165+C160+C164+C161</f>
        <v>1994857.7999999996</v>
      </c>
      <c r="D167" s="87">
        <f>D150+D158+D162+D163+D159+D166+D165+D160+D164+D161</f>
        <v>1029523.7</v>
      </c>
      <c r="E167" s="22"/>
      <c r="F167" s="3">
        <f>D167/B167*100</f>
        <v>75.97396827955062</v>
      </c>
      <c r="G167" s="3">
        <f t="shared" si="22"/>
        <v>51.60887658258149</v>
      </c>
      <c r="H167" s="51">
        <f>B167-D167</f>
        <v>325576.8999999999</v>
      </c>
      <c r="I167" s="51">
        <f t="shared" si="23"/>
        <v>965334.0999999996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856078.8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856078.8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2016-07-29T10:27:38Z</cp:lastPrinted>
  <dcterms:created xsi:type="dcterms:W3CDTF">2000-06-20T04:48:00Z</dcterms:created>
  <dcterms:modified xsi:type="dcterms:W3CDTF">2016-08-10T05:06:33Z</dcterms:modified>
  <cp:category/>
  <cp:version/>
  <cp:contentType/>
  <cp:contentStatus/>
</cp:coreProperties>
</file>